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Calc"/>
  <workbookPr defaultThemeVersion="153222"/>
  <bookViews>
    <workbookView xWindow="0" yWindow="0" windowWidth="16384" windowHeight="8192" activeTab="1" tabRatio="500"/>
  </bookViews>
  <sheets>
    <sheet name="Google PlusCode" sheetId="1" r:id="rId1"/>
    <sheet name="Decimal degrees" sheetId="2" r:id="rId2"/>
  </sheets>
  <definedNames>
    <definedName name="_xlnm.Print_Area" localSheetId="1">'Decimal degrees'!$A$1:$J$39</definedName>
    <definedName name="_xlnm.Print_Area" localSheetId="0">'Google PlusCode'!$A$1:$T$34</definedName>
    <definedName name="_xlnm._FilterDatabase" localSheetId="1" hidden="1">'Decimal degrees'!$A$1:$R$27</definedName>
  </definedNames>
  <calcPr iterateDelta="1.0E-4"/>
</workbook>
</file>

<file path=xl/sharedStrings.xml><?xml version="1.0" encoding="utf-8"?>
<sst xmlns="http://schemas.openxmlformats.org/spreadsheetml/2006/main" uniqueCount="79" count="79">
  <si>
    <t>Calculate Google Open Location Code</t>
  </si>
  <si>
    <t>(Calculate PlusCode)</t>
  </si>
  <si>
    <t>Base-20</t>
  </si>
  <si>
    <t>Digit</t>
  </si>
  <si>
    <t>Decimal Latitude</t>
  </si>
  <si>
    <t>Decimal Longitude</t>
  </si>
  <si>
    <t>digit</t>
  </si>
  <si>
    <t>enciphered</t>
  </si>
  <si>
    <t>Latitude is valid number</t>
  </si>
  <si>
    <t>Longitude is valid number</t>
  </si>
  <si>
    <t>Non-negative base-20</t>
  </si>
  <si>
    <t>(as a base-10 number)</t>
  </si>
  <si>
    <t>C</t>
  </si>
  <si>
    <t>F</t>
  </si>
  <si>
    <t>Digits</t>
  </si>
  <si>
    <t>Value</t>
  </si>
  <si>
    <t>G</t>
  </si>
  <si>
    <t>position</t>
  </si>
  <si>
    <t>(as base10)</t>
  </si>
  <si>
    <t>remainder</t>
  </si>
  <si>
    <t>H</t>
  </si>
  <si>
    <t>J</t>
  </si>
  <si>
    <t>M</t>
  </si>
  <si>
    <t>P</t>
  </si>
  <si>
    <t>Q</t>
  </si>
  <si>
    <t>R</t>
  </si>
  <si>
    <t>V</t>
  </si>
  <si>
    <t>Latitude (base-20 enciphered)</t>
  </si>
  <si>
    <t>Longitude (base-20 enciphered)</t>
  </si>
  <si>
    <t>W</t>
  </si>
  <si>
    <t>X</t>
  </si>
  <si>
    <t>Last Digit Grid</t>
  </si>
  <si>
    <t>Grid. row, PlusCode last digit</t>
  </si>
  <si>
    <t>Grid. col, PlusCode last digit</t>
  </si>
  <si>
    <t>West</t>
  </si>
  <si>
    <t></t>
  </si>
  <si>
    <t></t>
  </si>
  <si>
    <t>East</t>
  </si>
  <si>
    <t>Counting from 0, grid bottom</t>
  </si>
  <si>
    <t>Counting from 0, grid left</t>
  </si>
  <si>
    <t>North</t>
  </si>
  <si>
    <t>Longitude</t>
  </si>
  <si>
    <t></t>
  </si>
  <si>
    <t></t>
  </si>
  <si>
    <t></t>
  </si>
  <si>
    <t>grid row</t>
  </si>
  <si>
    <t>Latitude</t>
  </si>
  <si>
    <t>PlusCode last digit, enciphered</t>
  </si>
  <si>
    <t></t>
  </si>
  <si>
    <t>South</t>
  </si>
  <si>
    <t>Google PlusCode</t>
  </si>
  <si>
    <t>grid col.</t>
  </si>
  <si>
    <t>Calculate Decimal Degrees</t>
  </si>
  <si>
    <t>6PH57VP3+PR6</t>
  </si>
  <si>
    <t>2</t>
  </si>
  <si>
    <t>3</t>
  </si>
  <si>
    <t>4</t>
  </si>
  <si>
    <t>5</t>
  </si>
  <si>
    <t>6</t>
  </si>
  <si>
    <t>7</t>
  </si>
  <si>
    <t>Position</t>
  </si>
  <si>
    <t>8</t>
  </si>
  <si>
    <t>of "+"</t>
  </si>
  <si>
    <t>9</t>
  </si>
  <si>
    <t>Remove "+"</t>
  </si>
  <si>
    <t>Offset</t>
  </si>
  <si>
    <t>degrees</t>
  </si>
  <si>
    <t>Bottom edge</t>
  </si>
  <si>
    <t>Left edge</t>
  </si>
  <si>
    <r>
      <rPr>
        <charset val="1"/>
        <sz val="10"/>
        <color rgb="FF000000"/>
        <rFont val="Arial"/>
      </rPr>
      <t>Has 11</t>
    </r>
    <r>
      <rPr>
        <vertAlign val="superscript"/>
        <sz val="10"/>
        <rFont val="Arial"/>
      </rPr>
      <t>th</t>
    </r>
  </si>
  <si>
    <t>Grid Row</t>
  </si>
  <si>
    <t>Grid Col.</t>
  </si>
  <si>
    <r>
      <rPr>
        <charset val="1"/>
        <sz val="10"/>
        <color rgb="FF000000"/>
        <rFont val="Arial"/>
      </rPr>
      <t>11</t>
    </r>
    <r>
      <rPr>
        <vertAlign val="superscript"/>
        <sz val="10"/>
        <rFont val="Arial"/>
      </rPr>
      <t>th</t>
    </r>
    <r>
      <rPr>
        <sz val="10"/>
        <rFont val="Arial"/>
      </rPr>
      <t xml:space="preserve"> digit</t>
    </r>
  </si>
  <si>
    <t>(Latitude)</t>
  </si>
  <si>
    <t>(Longitude)</t>
  </si>
  <si>
    <t>Decimal</t>
  </si>
  <si>
    <t>Degrees</t>
  </si>
  <si>
    <t>Minutes</t>
  </si>
  <si>
    <t>Seconds</t>
  </si>
</sst>
</file>

<file path=xl/styles.xml><?xml version="1.0" encoding="utf-8"?>
<styleSheet xmlns="http://schemas.openxmlformats.org/spreadsheetml/2006/main">
  <numFmts count="6">
    <numFmt numFmtId="0" formatCode="General"/>
    <numFmt numFmtId="4" formatCode="#,##0.00"/>
    <numFmt numFmtId="3" formatCode="#,##0"/>
    <numFmt numFmtId="1" formatCode="0"/>
    <numFmt numFmtId="49" formatCode="@"/>
    <numFmt numFmtId="164" formatCode="0.00000"/>
  </numFmts>
  <fonts count="11">
    <font>
      <name val="Arial"/>
      <sz val="10"/>
    </font>
    <font>
      <name val="Arial"/>
      <charset val="1"/>
      <sz val="16"/>
      <color rgb="FF000000"/>
    </font>
    <font>
      <name val="Arial"/>
      <charset val="1"/>
      <sz val="14"/>
      <color rgb="FF000000"/>
    </font>
    <font>
      <name val="Arial"/>
      <charset val="1"/>
      <sz val="10"/>
      <color rgb="FF000000"/>
    </font>
    <font>
      <name val="Arial"/>
      <charset val="1"/>
      <sz val="11"/>
      <color rgb="FF000000"/>
    </font>
    <font>
      <name val="Arial"/>
      <charset val="1"/>
      <sz val="10"/>
      <color rgb="FF666666"/>
    </font>
    <font>
      <name val="Arial"/>
      <b/>
      <charset val="1"/>
      <sz val="11"/>
      <color rgb="FF000000"/>
    </font>
    <font>
      <name val="Wingdings"/>
      <b/>
      <charset val="2"/>
      <sz val="11"/>
      <color rgb="FF000000"/>
    </font>
    <font>
      <name val="Arial"/>
      <charset val="1"/>
      <sz val="11"/>
      <color rgb="FFFF00FF"/>
    </font>
    <font>
      <name val="Arial"/>
      <charset val="1"/>
      <sz val="11"/>
      <color rgb="FFFF0000"/>
    </font>
    <font>
      <name val="Arial"/>
      <charset val="1"/>
      <sz val="9"/>
      <color rgb="FF000000"/>
    </font>
  </fonts>
  <fills count="6">
    <fill>
      <patternFill patternType="none"/>
    </fill>
    <fill>
      <patternFill patternType="gray125"/>
    </fill>
    <fill>
      <patternFill patternType="solid">
        <fgColor rgb="FFE6E6E6"/>
        <bgColor rgb="FFFFFFCC"/>
      </patternFill>
    </fill>
    <fill>
      <patternFill patternType="solid">
        <fgColor rgb="FF88FF88"/>
        <bgColor rgb="FF9EFFFF"/>
      </patternFill>
    </fill>
    <fill>
      <patternFill patternType="solid">
        <fgColor rgb="FF9EFFFF"/>
        <bgColor rgb="FFCCFFFF"/>
      </patternFill>
    </fill>
    <fill>
      <patternFill patternType="solid">
        <fgColor rgb="FF00FFFF"/>
        <bgColor rgb="FF00FFFF"/>
      </patternFill>
    </fill>
  </fills>
  <borders count="11">
    <border>
      <left/>
      <right/>
      <top/>
      <bottom/>
      <diagonal/>
    </border>
    <border>
      <left style="thin">
        <color indexed="0"/>
      </left>
      <right style="hair">
        <color rgb="FF666666"/>
      </right>
      <top style="thin">
        <color indexed="0"/>
      </top>
      <bottom style="hair">
        <color rgb="FF666666"/>
      </bottom>
      <diagonal/>
    </border>
    <border>
      <left style="hair">
        <color rgb="FF666666"/>
      </left>
      <right style="hair">
        <color rgb="FF666666"/>
      </right>
      <top style="thin">
        <color indexed="0"/>
      </top>
      <bottom style="hair">
        <color rgb="FF666666"/>
      </bottom>
      <diagonal/>
    </border>
    <border>
      <left style="hair">
        <color rgb="FF666666"/>
      </left>
      <right style="thin">
        <color indexed="0"/>
      </right>
      <top style="thin">
        <color indexed="0"/>
      </top>
      <bottom style="hair">
        <color rgb="FF666666"/>
      </bottom>
      <diagonal/>
    </border>
    <border>
      <left style="thin">
        <color indexed="0"/>
      </left>
      <right style="hair">
        <color rgb="FF666666"/>
      </right>
      <top style="hair">
        <color rgb="FF666666"/>
      </top>
      <bottom style="hair">
        <color rgb="FF666666"/>
      </bottom>
      <diagonal/>
    </border>
    <border>
      <left style="hair">
        <color rgb="FF666666"/>
      </left>
      <right style="hair">
        <color rgb="FF666666"/>
      </right>
      <top style="hair">
        <color rgb="FF666666"/>
      </top>
      <bottom style="hair">
        <color rgb="FF666666"/>
      </bottom>
      <diagonal/>
    </border>
    <border>
      <left style="hair">
        <color rgb="FF666666"/>
      </left>
      <right style="thin">
        <color indexed="0"/>
      </right>
      <top style="hair">
        <color rgb="FF666666"/>
      </top>
      <bottom style="hair">
        <color rgb="FF666666"/>
      </bottom>
      <diagonal/>
    </border>
    <border>
      <left style="thin">
        <color indexed="0"/>
      </left>
      <right style="hair">
        <color rgb="FF666666"/>
      </right>
      <top style="hair">
        <color rgb="FF666666"/>
      </top>
      <bottom style="thin">
        <color indexed="0"/>
      </bottom>
      <diagonal/>
    </border>
    <border>
      <left style="hair">
        <color rgb="FF666666"/>
      </left>
      <right style="hair">
        <color rgb="FF666666"/>
      </right>
      <top style="hair">
        <color rgb="FF666666"/>
      </top>
      <bottom style="thin">
        <color indexed="0"/>
      </bottom>
      <diagonal/>
    </border>
    <border>
      <left style="hair">
        <color rgb="FF666666"/>
      </left>
      <right style="thin">
        <color indexed="0"/>
      </right>
      <top style="hair">
        <color rgb="FF666666"/>
      </top>
      <bottom style="thin">
        <color indexed="0"/>
      </bottom>
      <diagonal/>
    </border>
    <border>
      <left/>
      <right/>
      <top style="thin">
        <color indexed="0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vertical="bottom"/>
    </xf>
    <xf numFmtId="0" fontId="2" fillId="0" borderId="0" xfId="0" applyFont="1" applyAlignment="1">
      <alignment vertical="bottom"/>
    </xf>
    <xf numFmtId="0" fontId="3" fillId="0" borderId="0" xfId="0" applyFont="1" applyAlignment="1">
      <alignment horizontal="center" vertical="bottom"/>
    </xf>
    <xf numFmtId="0" fontId="4" fillId="0" borderId="0" xfId="0" applyFont="1" applyAlignment="1">
      <alignment horizontal="center" vertical="bottom"/>
    </xf>
    <xf numFmtId="0" fontId="4" fillId="2" borderId="0" xfId="0" applyFont="1" applyBorder="1" applyAlignment="1">
      <alignment vertical="bottom"/>
      <protection locked="0" hidden="0"/>
    </xf>
    <xf numFmtId="0" fontId="5" fillId="0" borderId="0" xfId="0" applyFont="1" applyAlignment="1">
      <alignment vertical="bottom"/>
    </xf>
    <xf numFmtId="4" fontId="4" fillId="0" borderId="0" xfId="0" applyFont="1" applyAlignment="1">
      <alignment horizontal="center" vertical="bottom"/>
    </xf>
    <xf numFmtId="4" fontId="4" fillId="0" borderId="0" xfId="0" applyFont="1" applyAlignment="1">
      <alignment vertical="bottom"/>
    </xf>
    <xf numFmtId="3" fontId="4" fillId="0" borderId="0" xfId="0" applyFont="1" applyAlignment="1">
      <alignment vertical="bottom"/>
    </xf>
    <xf numFmtId="0" fontId="3" fillId="0" borderId="0" xfId="0" applyFont="1" applyAlignment="1">
      <alignment horizontal="right" vertical="bottom"/>
    </xf>
    <xf numFmtId="1" fontId="4" fillId="3" borderId="0" xfId="0" applyFont="1" applyBorder="1" applyAlignment="1">
      <alignment vertical="bottom"/>
    </xf>
    <xf numFmtId="0" fontId="4" fillId="0" borderId="0" xfId="0" applyFont="1" applyAlignment="1">
      <alignment vertical="bottom"/>
    </xf>
    <xf numFmtId="1" fontId="4" fillId="0" borderId="0" xfId="0" applyFont="1" applyAlignment="1">
      <alignment vertical="bottom"/>
    </xf>
    <xf numFmtId="3" fontId="4" fillId="3" borderId="0" xfId="0" applyFont="1" applyBorder="1" applyAlignment="1">
      <alignment vertical="bottom"/>
    </xf>
    <xf numFmtId="0" fontId="4" fillId="0" borderId="0" xfId="0" applyFont="1" applyAlignment="1">
      <alignment horizontal="right" vertical="bottom"/>
    </xf>
    <xf numFmtId="0" fontId="4" fillId="4" borderId="0" xfId="0" applyFont="1" applyBorder="1" applyAlignment="1">
      <alignment horizontal="center" vertical="bottom"/>
    </xf>
    <xf numFmtId="0" fontId="6" fillId="0" borderId="0" xfId="0" applyFont="1" applyAlignment="1">
      <alignment horizontal="center" vertical="bottom"/>
    </xf>
    <xf numFmtId="0" fontId="7" fillId="0" borderId="0" xfId="0" applyFont="1" applyAlignment="1">
      <alignment horizontal="center" vertical="bottom"/>
    </xf>
    <xf numFmtId="0" fontId="8" fillId="0" borderId="0" xfId="0" applyFont="1" applyAlignment="1">
      <alignment vertical="bottom"/>
    </xf>
    <xf numFmtId="0" fontId="9" fillId="0" borderId="0" xfId="0" applyFont="1" applyAlignment="1">
      <alignment vertical="bottom"/>
    </xf>
    <xf numFmtId="0" fontId="6" fillId="0" borderId="0" xfId="0" applyFont="1" applyAlignment="1">
      <alignment vertical="bottom"/>
    </xf>
    <xf numFmtId="0" fontId="7" fillId="0" borderId="0" xfId="0" applyFont="1" applyAlignment="1">
      <alignment vertical="bottom"/>
    </xf>
    <xf numFmtId="0" fontId="3" fillId="0" borderId="1" xfId="0" applyBorder="1" applyAlignment="1">
      <alignment horizontal="center" vertical="bottom"/>
    </xf>
    <xf numFmtId="0" fontId="3" fillId="0" borderId="2" xfId="0" applyBorder="1" applyAlignment="1">
      <alignment horizontal="center" vertical="bottom"/>
    </xf>
    <xf numFmtId="0" fontId="3" fillId="0" borderId="3" xfId="0" applyBorder="1" applyAlignment="1">
      <alignment horizontal="center" vertical="bottom"/>
    </xf>
    <xf numFmtId="0" fontId="10" fillId="3" borderId="0" xfId="0" applyFont="1" applyBorder="1" applyAlignment="1">
      <alignment horizontal="center" vertical="bottom"/>
    </xf>
    <xf numFmtId="0" fontId="3" fillId="0" borderId="0" xfId="0" applyFont="1" applyBorder="1" applyAlignment="1">
      <alignment horizontal="right" vertical="center" textRotation="90"/>
    </xf>
    <xf numFmtId="0" fontId="6" fillId="0" borderId="0" xfId="0" applyFont="1" applyBorder="1" applyAlignment="1">
      <alignment horizontal="right" vertical="bottom" textRotation="90"/>
    </xf>
    <xf numFmtId="0" fontId="3" fillId="0" borderId="4" xfId="0" applyBorder="1" applyAlignment="1">
      <alignment horizontal="center" vertical="bottom"/>
    </xf>
    <xf numFmtId="0" fontId="3" fillId="0" borderId="5" xfId="0" applyBorder="1" applyAlignment="1">
      <alignment horizontal="center" vertical="bottom"/>
    </xf>
    <xf numFmtId="0" fontId="3" fillId="0" borderId="6" xfId="0" applyBorder="1" applyAlignment="1">
      <alignment horizontal="center" vertical="bottom"/>
    </xf>
    <xf numFmtId="0" fontId="3" fillId="0" borderId="7" xfId="0" applyBorder="1" applyAlignment="1">
      <alignment horizontal="center" vertical="bottom"/>
    </xf>
    <xf numFmtId="0" fontId="3" fillId="0" borderId="8" xfId="0" applyBorder="1" applyAlignment="1">
      <alignment horizontal="center" vertical="bottom"/>
    </xf>
    <xf numFmtId="0" fontId="3" fillId="0" borderId="9" xfId="0" applyBorder="1" applyAlignment="1">
      <alignment horizontal="center" vertical="bottom"/>
    </xf>
    <xf numFmtId="0" fontId="4" fillId="0" borderId="0" xfId="0" applyFont="1" applyBorder="1" applyAlignment="1">
      <alignment horizontal="center" vertical="bottom"/>
    </xf>
    <xf numFmtId="0" fontId="6" fillId="5" borderId="0" xfId="0" applyFont="1" applyBorder="1" applyAlignment="1">
      <alignment vertical="bottom"/>
    </xf>
    <xf numFmtId="0" fontId="3" fillId="5" borderId="0" xfId="0" applyBorder="1" applyAlignment="1">
      <alignment vertical="bottom"/>
    </xf>
    <xf numFmtId="0" fontId="4" fillId="0" borderId="0" xfId="0" applyFont="1" applyAlignment="1">
      <alignment horizontal="left" vertical="bottom"/>
    </xf>
    <xf numFmtId="49" fontId="3" fillId="0" borderId="0" xfId="0" applyFont="1" applyAlignment="1">
      <alignment horizontal="right" vertical="bottom"/>
    </xf>
    <xf numFmtId="0" fontId="3" fillId="0" borderId="10" xfId="0" applyBorder="1" applyAlignment="1">
      <alignment vertical="bottom"/>
    </xf>
    <xf numFmtId="0" fontId="3" fillId="0" borderId="0" xfId="0" applyAlignment="1">
      <alignment vertical="bottom"/>
    </xf>
    <xf numFmtId="164" fontId="6" fillId="4" borderId="0" xfId="0" applyFont="1" applyBorder="1" applyAlignment="1">
      <alignment vertical="bottom"/>
    </xf>
    <xf numFmtId="164" fontId="4" fillId="0" borderId="0" xfId="0" applyFont="1" applyAlignment="1">
      <alignment vertical="bottom"/>
    </xf>
  </cellXfs>
  <cellStyles count="1">
    <cellStyle name="常规" xfId="0" builtinId="0"/>
  </cellStyles>
  <dxfs count="5">
    <dxf>
      <font>
        <color rgb="FFFF0000"/>
      </font>
    </dxf>
    <dxf>
      <font/>
      <fill>
        <patternFill>
          <bgColor rgb="FF9EFFFF"/>
        </patternFill>
      </fill>
    </dxf>
    <dxf>
      <font>
        <color rgb="FFFF00FF"/>
      </font>
    </dxf>
    <dxf>
      <font>
        <color rgb="FFFF0000"/>
      </font>
    </dxf>
    <dxf>
      <font>
        <color rgb="FFFF0000"/>
      </font>
    </dxf>
  </dxf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9E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88FF88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66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www.wps.cn/officeDocument/2020/cellImage" Target="cellimages.xml"/><Relationship Id="rId4" Type="http://schemas.openxmlformats.org/officeDocument/2006/relationships/sharedStrings" Target="sharedStrings.xml"/><Relationship Id="rId5" Type="http://schemas.openxmlformats.org/officeDocument/2006/relationships/styles" Target="styles.xml"/><Relationship Id="rId6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Arial" pitchFamily="0" charset="1"/>
        <a:ea typeface="SimSun" pitchFamily="0" charset="1"/>
        <a:cs typeface="Times New Roman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X34"/>
  <sheetViews>
    <sheetView workbookViewId="0" zoomScale="175">
      <selection activeCell="F4" sqref="F4"/>
    </sheetView>
  </sheetViews>
  <sheetFormatPr defaultRowHeight="13.45" customHeight="1" defaultColWidth="10" zeroHeight="1"/>
  <cols>
    <col min="1" max="1" customWidth="1" width="2.5664062" style="0"/>
    <col min="2" max="2" customWidth="1" width="10.707031" style="0"/>
    <col min="3" max="3" customWidth="1" width="7.0" style="0"/>
    <col min="4" max="4" customWidth="1" width="11.2890625" style="0"/>
    <col min="5" max="5" customWidth="1" width="2.5664062" style="0"/>
    <col min="6" max="6" customWidth="1" width="12.707031" style="0"/>
    <col min="7" max="7" customWidth="1" width="3.859375" style="0"/>
    <col min="8" max="8" customWidth="1" width="10.707031" style="0"/>
    <col min="9" max="9" customWidth="1" width="7.0" style="0"/>
    <col min="10" max="10" customWidth="1" width="11.2890625" style="0"/>
    <col min="11" max="11" customWidth="1" width="2.5664062" style="0"/>
    <col min="12" max="12" customWidth="1" width="12.707031" style="0"/>
    <col min="13" max="20" customWidth="1" width="3.7070312" style="0"/>
  </cols>
  <sheetData>
    <row r="1" spans="8:8" ht="19.7">
      <c r="A1" s="1" t="s">
        <v>0</v>
      </c>
      <c r="J1" s="2" t="s">
        <v>1</v>
      </c>
    </row>
    <row r="2" spans="8:8" ht="13.45">
      <c r="V2" s="3" t="s">
        <v>2</v>
      </c>
      <c r="W2" s="3" t="s">
        <v>3</v>
      </c>
    </row>
    <row r="3" spans="8:8" ht="13.45">
      <c r="F3" s="4" t="s">
        <v>4</v>
      </c>
      <c r="L3" s="4" t="s">
        <v>5</v>
      </c>
      <c r="V3" s="3" t="s">
        <v>6</v>
      </c>
      <c r="W3" s="3" t="s">
        <v>7</v>
      </c>
    </row>
    <row r="4" spans="8:8" ht="13.45">
      <c r="F4" s="5">
        <v>1.28678</v>
      </c>
      <c r="L4" s="5">
        <v>103.8545</v>
      </c>
      <c r="V4">
        <v>0.0</v>
      </c>
      <c r="W4">
        <v>2.0</v>
      </c>
    </row>
    <row r="5" spans="8:8" ht="13.45">
      <c r="V5">
        <v>1.0</v>
      </c>
      <c r="W5">
        <v>3.0</v>
      </c>
    </row>
    <row r="6" spans="8:8" ht="13.45">
      <c r="F6" s="4" t="s">
        <v>8</v>
      </c>
      <c r="L6" s="4" t="s">
        <v>9</v>
      </c>
      <c r="V6">
        <v>2.0</v>
      </c>
      <c r="W6">
        <v>4.0</v>
      </c>
    </row>
    <row r="7" spans="8:8" ht="13.45">
      <c r="F7" s="6" t="b">
        <f>AND(F4&gt;=-90,F4&lt;=90)</f>
        <v>1</v>
      </c>
      <c r="L7" s="6" t="b">
        <f>AND(L4&gt;=-180,L4&lt;=180)</f>
        <v>1</v>
      </c>
      <c r="V7">
        <v>3.0</v>
      </c>
      <c r="W7">
        <v>5.0</v>
      </c>
    </row>
    <row r="8" spans="8:8" ht="13.45">
      <c r="V8">
        <v>4.0</v>
      </c>
      <c r="W8">
        <v>6.0</v>
      </c>
    </row>
    <row r="9" spans="8:8" ht="13.45">
      <c r="F9" s="4" t="s">
        <v>10</v>
      </c>
      <c r="L9" s="4" t="s">
        <v>10</v>
      </c>
      <c r="V9">
        <v>5.0</v>
      </c>
      <c r="W9">
        <v>7.0</v>
      </c>
    </row>
    <row r="10" spans="8:8" ht="13.45">
      <c r="F10" s="4" t="s">
        <v>11</v>
      </c>
      <c r="L10" s="4" t="s">
        <v>11</v>
      </c>
      <c r="V10">
        <v>6.0</v>
      </c>
      <c r="W10">
        <v>8.0</v>
      </c>
    </row>
    <row r="11" spans="8:8" ht="13.45">
      <c r="F11" s="7">
        <f>IF(F7,(F4+90)*8000,0)</f>
        <v>730294.24</v>
      </c>
      <c r="L11" s="8">
        <f>IF(L7,(L4+180)*8000,0)</f>
        <v>2270836.0000000005</v>
      </c>
      <c r="V11">
        <v>7.0</v>
      </c>
      <c r="W11">
        <v>9.0</v>
      </c>
    </row>
    <row r="12" spans="8:8" ht="13.45">
      <c r="F12" s="9">
        <f>IF(F7,TRUNC(F11,0),0)</f>
        <v>730294.0</v>
      </c>
      <c r="L12" s="9">
        <f>IF(L7,TRUNC(L11,0),0)</f>
        <v>2270836.0</v>
      </c>
      <c r="V12">
        <v>8.0</v>
      </c>
      <c r="W12" s="10" t="s">
        <v>12</v>
      </c>
    </row>
    <row r="13" spans="8:8" ht="13.45">
      <c r="V13">
        <v>9.0</v>
      </c>
      <c r="W13" s="10" t="s">
        <v>13</v>
      </c>
    </row>
    <row r="14" spans="8:8" ht="13.45">
      <c r="B14" s="4" t="s">
        <v>14</v>
      </c>
      <c r="C14" s="4" t="s">
        <v>3</v>
      </c>
      <c r="D14" s="4" t="s">
        <v>2</v>
      </c>
      <c r="F14" s="4" t="s">
        <v>15</v>
      </c>
      <c r="H14" s="4" t="s">
        <v>14</v>
      </c>
      <c r="I14" s="4" t="s">
        <v>3</v>
      </c>
      <c r="J14" s="4" t="s">
        <v>2</v>
      </c>
      <c r="L14" s="4" t="s">
        <v>15</v>
      </c>
      <c r="V14">
        <v>10.0</v>
      </c>
      <c r="W14" s="10" t="s">
        <v>16</v>
      </c>
    </row>
    <row r="15" spans="8:8" ht="13.45">
      <c r="B15" s="4" t="s">
        <v>7</v>
      </c>
      <c r="C15" s="4" t="s">
        <v>17</v>
      </c>
      <c r="D15" s="4" t="s">
        <v>18</v>
      </c>
      <c r="F15" s="4" t="s">
        <v>19</v>
      </c>
      <c r="H15" s="4" t="s">
        <v>7</v>
      </c>
      <c r="I15" s="4" t="s">
        <v>17</v>
      </c>
      <c r="J15" s="4" t="s">
        <v>18</v>
      </c>
      <c r="L15" s="4" t="s">
        <v>19</v>
      </c>
      <c r="V15">
        <v>11.0</v>
      </c>
      <c r="W15" s="10" t="s">
        <v>20</v>
      </c>
    </row>
    <row r="16" spans="8:8" ht="13.45">
      <c r="B16" s="4" t="str">
        <f>VLOOKUP(D16,V$4:W$23,2)</f>
        <v>P</v>
      </c>
      <c r="C16" s="11">
        <v>1.0</v>
      </c>
      <c r="D16" s="12">
        <f>MOD(F12,20)</f>
        <v>14.0</v>
      </c>
      <c r="F16" s="9">
        <f>(F12-D16)/20</f>
        <v>36514.0</v>
      </c>
      <c r="H16" s="4" t="str">
        <f>VLOOKUP(J16,V$4:W$23,2)</f>
        <v>R</v>
      </c>
      <c r="I16" s="11">
        <v>1.0</v>
      </c>
      <c r="J16" s="12">
        <f>MOD(L12,20)</f>
        <v>16.0</v>
      </c>
      <c r="L16" s="9">
        <f>(L12-J16)/20</f>
        <v>113541.0</v>
      </c>
      <c r="V16">
        <v>12.0</v>
      </c>
      <c r="W16" s="10" t="s">
        <v>21</v>
      </c>
    </row>
    <row r="17" spans="8:8" ht="13.45">
      <c r="B17" s="4" t="str">
        <f>VLOOKUP(D17,V$4:W$23,2)</f>
        <v>P</v>
      </c>
      <c r="C17" s="11">
        <f>C16*10</f>
        <v>10.0</v>
      </c>
      <c r="D17" s="12">
        <f>MOD(F16,20)</f>
        <v>14.0</v>
      </c>
      <c r="F17" s="9">
        <f>(F16-D17)/20</f>
        <v>1825.0</v>
      </c>
      <c r="H17" s="4">
        <f>VLOOKUP(J17,V$4:W$23,2)</f>
        <v>3.0</v>
      </c>
      <c r="I17" s="11">
        <f>I16*10</f>
        <v>10.0</v>
      </c>
      <c r="J17" s="12">
        <f>MOD(L16,20)</f>
        <v>1.0</v>
      </c>
      <c r="L17" s="9">
        <f>(L16-J17)/20</f>
        <v>5677.0</v>
      </c>
      <c r="V17">
        <v>13.0</v>
      </c>
      <c r="W17" s="10" t="s">
        <v>22</v>
      </c>
    </row>
    <row r="18" spans="8:8" ht="13.45">
      <c r="B18" s="4">
        <f>VLOOKUP(D18,V$4:W$23,2)</f>
        <v>7.0</v>
      </c>
      <c r="C18" s="11">
        <f>C17*10</f>
        <v>100.0</v>
      </c>
      <c r="D18" s="12">
        <f>MOD(F17,20)</f>
        <v>5.0</v>
      </c>
      <c r="F18" s="13">
        <f>(F17-D18)/20</f>
        <v>91.0</v>
      </c>
      <c r="H18" s="4" t="str">
        <f>VLOOKUP(J18,V$4:W$23,2)</f>
        <v>V</v>
      </c>
      <c r="I18" s="11">
        <f>I17*10</f>
        <v>100.0</v>
      </c>
      <c r="J18" s="12">
        <f>MOD(L17,20)</f>
        <v>17.0</v>
      </c>
      <c r="L18" s="13">
        <f>(L17-J18)/20</f>
        <v>283.0</v>
      </c>
      <c r="V18">
        <v>14.0</v>
      </c>
      <c r="W18" s="10" t="s">
        <v>23</v>
      </c>
    </row>
    <row r="19" spans="8:8" ht="13.45">
      <c r="B19" s="4" t="str">
        <f>VLOOKUP(D19,V$4:W$23,2)</f>
        <v>H</v>
      </c>
      <c r="C19" s="14">
        <f>C18*10</f>
        <v>1000.0</v>
      </c>
      <c r="D19" s="12">
        <f>MOD(F18,20)</f>
        <v>11.0</v>
      </c>
      <c r="F19" s="13">
        <f>(F18-D19)/20</f>
        <v>4.0</v>
      </c>
      <c r="H19" s="4">
        <f>VLOOKUP(J19,V$4:W$23,2)</f>
        <v>5.0</v>
      </c>
      <c r="I19" s="14">
        <f>I18*10</f>
        <v>1000.0</v>
      </c>
      <c r="J19" s="12">
        <f>MOD(L18,20)</f>
        <v>3.0</v>
      </c>
      <c r="L19" s="13">
        <f>(L18-J19)/20</f>
        <v>14.0</v>
      </c>
      <c r="V19">
        <v>15.0</v>
      </c>
      <c r="W19" s="10" t="s">
        <v>24</v>
      </c>
    </row>
    <row r="20" spans="8:8" ht="13.45">
      <c r="B20" s="4">
        <f>VLOOKUP(D20,V$4:W$23,2)</f>
        <v>6.0</v>
      </c>
      <c r="C20" s="14">
        <f>C19*10</f>
        <v>10000.0</v>
      </c>
      <c r="D20" s="12">
        <f>MOD(F19,20)</f>
        <v>4.0</v>
      </c>
      <c r="F20" s="15" t="str">
        <f>IF((F19-D20)/20=0,"Valid","Error")</f>
        <v>Valid</v>
      </c>
      <c r="H20" s="4" t="str">
        <f>VLOOKUP(J20,V$4:W$23,2)</f>
        <v>P</v>
      </c>
      <c r="I20" s="14">
        <f>I19*10</f>
        <v>10000.0</v>
      </c>
      <c r="J20" s="12">
        <f>MOD(L19,20)</f>
        <v>14.0</v>
      </c>
      <c r="L20" s="15" t="str">
        <f>IF((L19-J20)/20=0,"Valid","Error")</f>
        <v>Valid</v>
      </c>
      <c r="V20">
        <v>16.0</v>
      </c>
      <c r="W20" s="10" t="s">
        <v>25</v>
      </c>
    </row>
    <row r="21" spans="8:8" ht="13.45">
      <c r="V21">
        <v>17.0</v>
      </c>
      <c r="W21" s="10" t="s">
        <v>26</v>
      </c>
    </row>
    <row r="22" spans="8:8" ht="13.45">
      <c r="D22" s="4" t="s">
        <v>27</v>
      </c>
      <c r="J22" s="4" t="s">
        <v>28</v>
      </c>
      <c r="V22">
        <v>18.0</v>
      </c>
      <c r="W22" s="10" t="s">
        <v>29</v>
      </c>
    </row>
    <row r="23" spans="8:8" ht="13.45">
      <c r="D23" s="16" t="str">
        <f>B20&amp;" "&amp;B19&amp;" "&amp;B18&amp;" "&amp;B17&amp;" "&amp;B16</f>
        <v>6 H 7 P P</v>
      </c>
      <c r="J23" s="16" t="str">
        <f>H20&amp;" "&amp;H19&amp;" "&amp;H18&amp;" "&amp;H17&amp;" "&amp;H16</f>
        <v>P 5 V 3 R</v>
      </c>
      <c r="V23">
        <v>19.0</v>
      </c>
      <c r="W23" s="10" t="s">
        <v>30</v>
      </c>
    </row>
    <row r="24" spans="8:8" ht="13.45">
      <c r="P24" s="17" t="s">
        <v>31</v>
      </c>
    </row>
    <row r="25" spans="8:8" ht="13.45">
      <c r="B25" s="12" t="s">
        <v>32</v>
      </c>
      <c r="C25" s="12"/>
      <c r="H25" s="12" t="s">
        <v>33</v>
      </c>
      <c r="I25" s="12"/>
      <c r="N25" s="10" t="s">
        <v>34</v>
      </c>
      <c r="O25" s="18" t="s">
        <v>35</v>
      </c>
      <c r="R25" s="18" t="s">
        <v>36</v>
      </c>
      <c r="S25" t="s">
        <v>37</v>
      </c>
    </row>
    <row r="26" spans="8:8" ht="13.45">
      <c r="B26" s="19">
        <f>IF(F7,TRUNC((F11-F12)*5+0.5,0),0)</f>
        <v>1.0</v>
      </c>
      <c r="C26" t="s">
        <v>38</v>
      </c>
      <c r="H26" s="20">
        <f>IF(L7,TRUNC((L11-L12)*4+0.5,0),0)</f>
        <v>0.0</v>
      </c>
      <c r="I26" t="s">
        <v>39</v>
      </c>
      <c r="M26" s="4" t="s">
        <v>40</v>
      </c>
      <c r="O26" s="21" t="s">
        <v>41</v>
      </c>
      <c r="R26" s="22" t="s">
        <v>42</v>
      </c>
    </row>
    <row r="27" spans="8:8" ht="13.45">
      <c r="I27" s="12"/>
      <c r="M27" s="18" t="s">
        <v>43</v>
      </c>
      <c r="N27" s="18" t="s">
        <v>44</v>
      </c>
      <c r="O27" s="23" t="str">
        <f>W20</f>
        <v>R</v>
      </c>
      <c r="P27" s="24" t="str">
        <f>W21</f>
        <v>V</v>
      </c>
      <c r="Q27" s="24" t="str">
        <f>W22</f>
        <v>W</v>
      </c>
      <c r="R27" s="25" t="str">
        <f>W23</f>
        <v>X</v>
      </c>
      <c r="S27" s="26">
        <f>S28+1</f>
        <v>4.0</v>
      </c>
      <c r="T27" s="27" t="s">
        <v>45</v>
      </c>
    </row>
    <row r="28" spans="8:8" ht="13.45">
      <c r="I28" s="12"/>
      <c r="N28" s="28" t="s">
        <v>46</v>
      </c>
      <c r="O28" s="29" t="str">
        <f>W16</f>
        <v>J</v>
      </c>
      <c r="P28" s="30" t="str">
        <f>W17</f>
        <v>M</v>
      </c>
      <c r="Q28" s="30" t="str">
        <f>W18</f>
        <v>P</v>
      </c>
      <c r="R28" s="31" t="str">
        <f>W19</f>
        <v>Q</v>
      </c>
      <c r="S28" s="26">
        <f>S29+1</f>
        <v>3.0</v>
      </c>
      <c r="T28" s="27"/>
    </row>
    <row r="29" spans="8:8" ht="13.45">
      <c r="F29" s="4" t="s">
        <v>47</v>
      </c>
      <c r="N29" s="28"/>
      <c r="O29" s="29" t="str">
        <f>W12</f>
        <v>C</v>
      </c>
      <c r="P29" s="30" t="str">
        <f>W13</f>
        <v>F</v>
      </c>
      <c r="Q29" s="30" t="str">
        <f>W14</f>
        <v>G</v>
      </c>
      <c r="R29" s="31" t="str">
        <f>W15</f>
        <v>H</v>
      </c>
      <c r="S29" s="26">
        <f>S30+1</f>
        <v>2.0</v>
      </c>
      <c r="T29" s="27"/>
    </row>
    <row r="30" spans="8:8" ht="13.45">
      <c r="F30" s="4">
        <f>VLOOKUP(H26+B26*4,V$4:W$23,2)</f>
        <v>6.0</v>
      </c>
      <c r="N30" s="28"/>
      <c r="O30" s="29">
        <f>W8</f>
        <v>6.0</v>
      </c>
      <c r="P30" s="30">
        <f>W9</f>
        <v>7.0</v>
      </c>
      <c r="Q30" s="30">
        <f>W10</f>
        <v>8.0</v>
      </c>
      <c r="R30" s="31">
        <f>W11</f>
        <v>9.0</v>
      </c>
      <c r="S30" s="26">
        <f>S31+1</f>
        <v>1.0</v>
      </c>
      <c r="T30" s="27"/>
    </row>
    <row r="31" spans="8:8" ht="13.45">
      <c r="M31" s="18" t="s">
        <v>48</v>
      </c>
      <c r="N31" s="28"/>
      <c r="O31" s="32">
        <f>W4</f>
        <v>2.0</v>
      </c>
      <c r="P31" s="33">
        <f>W5</f>
        <v>3.0</v>
      </c>
      <c r="Q31" s="33">
        <f>W6</f>
        <v>4.0</v>
      </c>
      <c r="R31" s="34">
        <f>W7</f>
        <v>5.0</v>
      </c>
      <c r="S31" s="26">
        <v>0.0</v>
      </c>
      <c r="T31" s="27"/>
    </row>
    <row r="32" spans="8:8" ht="13.45">
      <c r="M32" s="4" t="s">
        <v>49</v>
      </c>
      <c r="O32" s="26">
        <v>0.0</v>
      </c>
      <c r="P32" s="26">
        <f>O32+1</f>
        <v>1.0</v>
      </c>
      <c r="Q32" s="26">
        <f>P32+1</f>
        <v>2.0</v>
      </c>
      <c r="R32" s="26">
        <f>Q32+1</f>
        <v>3.0</v>
      </c>
    </row>
    <row r="33" spans="8:8" ht="13.45">
      <c r="H33" s="35" t="s">
        <v>50</v>
      </c>
      <c r="I33" s="35"/>
      <c r="P33" t="s">
        <v>51</v>
      </c>
    </row>
    <row r="34" spans="8:8" ht="13.45">
      <c r="H34" s="36" t="str">
        <f>" "&amp;B20&amp;H20&amp;B19&amp;H19&amp;B18&amp;H18&amp;B17&amp;H17&amp;"+"&amp;B16&amp;H16&amp;F30</f>
        <v> 6PH57VP3+PR6</v>
      </c>
      <c r="I34" s="37"/>
    </row>
  </sheetData>
  <sheetProtection sheet="1" autoFilter="0"/>
  <mergeCells count="3">
    <mergeCell ref="T27:T31"/>
    <mergeCell ref="N28:N31"/>
    <mergeCell ref="H33:I33"/>
  </mergeCells>
  <conditionalFormatting sqref="L7">
    <cfRule type="cellIs" operator="equal" priority="5" dxfId="0">
      <formula>0</formula>
    </cfRule>
  </conditionalFormatting>
  <conditionalFormatting sqref="O27:R31">
    <cfRule type="cellIs" operator="equal" priority="4" dxfId="1">
      <formula>$F$30</formula>
    </cfRule>
  </conditionalFormatting>
  <conditionalFormatting sqref="S27:S31">
    <cfRule type="cellIs" operator="equal" priority="2" dxfId="2">
      <formula>$B$26</formula>
    </cfRule>
  </conditionalFormatting>
  <conditionalFormatting sqref="O32:R32">
    <cfRule type="cellIs" operator="equal" priority="3" dxfId="3">
      <formula>$H$26</formula>
    </cfRule>
  </conditionalFormatting>
  <conditionalFormatting sqref="F7">
    <cfRule type="cellIs" operator="equal" priority="6" dxfId="4">
      <formula>0</formula>
    </cfRule>
  </conditionalFormatting>
  <pageMargins left="0.7875" right="0.7875" top="0.590277777777778" bottom="0.590277777777778" header="0.511811023622047" footer="0.511811023622047"/>
  <pageSetup paperSize="9" pageOrder="overThenDown" orientation="landscape" cellComments="atEnd"/>
</worksheet>
</file>

<file path=xl/worksheets/sheet2.xml><?xml version="1.0" encoding="utf-8"?>
<worksheet xmlns:r="http://schemas.openxmlformats.org/officeDocument/2006/relationships" xmlns="http://schemas.openxmlformats.org/spreadsheetml/2006/main">
  <dimension ref="A1:S39"/>
  <sheetViews>
    <sheetView tabSelected="1" workbookViewId="0" topLeftCell="D1" zoomScale="175">
      <selection activeCell="E4" sqref="E4:G4"/>
    </sheetView>
  </sheetViews>
  <sheetFormatPr defaultRowHeight="13.45" customHeight="1" defaultColWidth="10" zeroHeight="1"/>
  <cols>
    <col min="1" max="1" customWidth="1" width="2.65625" style="0"/>
    <col min="2" max="2" customWidth="1" width="10.578125" style="0"/>
    <col min="3" max="3" customWidth="1" width="11.25" style="0"/>
    <col min="4" max="4" customWidth="1" width="10.578125" style="0"/>
    <col min="5" max="5" customWidth="1" width="2.65625" style="0"/>
    <col min="7" max="7" customWidth="1" width="2.65625" style="0"/>
    <col min="8" max="8" customWidth="1" width="10.589844" style="0"/>
    <col min="9" max="9" customWidth="1" width="11.25" style="0"/>
    <col min="10" max="10" customWidth="1" width="10.578125" style="0"/>
  </cols>
  <sheetData>
    <row r="1" spans="8:8" ht="19.7">
      <c r="A1" s="1" t="s">
        <v>52</v>
      </c>
    </row>
    <row r="2" spans="8:8" ht="13.45">
      <c r="Q2" s="3" t="s">
        <v>3</v>
      </c>
      <c r="R2" s="3" t="s">
        <v>2</v>
      </c>
    </row>
    <row r="3" spans="8:8" ht="13.45">
      <c r="E3" s="38" t="s">
        <v>50</v>
      </c>
      <c r="Q3" s="3" t="s">
        <v>7</v>
      </c>
      <c r="R3" s="3" t="s">
        <v>6</v>
      </c>
    </row>
    <row r="4" spans="8:8" ht="13.45">
      <c r="E4" s="5" t="s">
        <v>53</v>
      </c>
      <c r="F4" s="5"/>
      <c r="G4" s="5"/>
      <c r="Q4" s="39" t="s">
        <v>54</v>
      </c>
      <c r="R4">
        <v>0.0</v>
      </c>
    </row>
    <row r="5" spans="8:8" ht="13.45">
      <c r="Q5" s="39" t="s">
        <v>55</v>
      </c>
      <c r="R5">
        <v>1.0</v>
      </c>
    </row>
    <row r="6" spans="8:8" ht="13.45">
      <c r="Q6" s="39" t="s">
        <v>56</v>
      </c>
      <c r="R6">
        <v>2.0</v>
      </c>
    </row>
    <row r="7" spans="8:8" ht="13.45">
      <c r="E7" t="str">
        <f>UPPER(TRIM(E4))</f>
        <v>6PH57VP3+PR6</v>
      </c>
      <c r="Q7" s="39" t="s">
        <v>57</v>
      </c>
      <c r="R7">
        <v>3.0</v>
      </c>
    </row>
    <row r="8" spans="8:8" ht="13.45">
      <c r="Q8" s="39" t="s">
        <v>58</v>
      </c>
      <c r="R8">
        <v>4.0</v>
      </c>
    </row>
    <row r="9" spans="8:8" ht="13.45">
      <c r="Q9" s="39" t="s">
        <v>59</v>
      </c>
      <c r="R9">
        <v>5.0</v>
      </c>
    </row>
    <row r="10" spans="8:8" ht="13.45">
      <c r="F10" s="3" t="s">
        <v>60</v>
      </c>
      <c r="Q10" s="39" t="s">
        <v>61</v>
      </c>
      <c r="R10">
        <v>6.0</v>
      </c>
    </row>
    <row r="11" spans="8:8" ht="13.45">
      <c r="F11" s="3" t="s">
        <v>62</v>
      </c>
      <c r="Q11" s="39" t="s">
        <v>63</v>
      </c>
      <c r="R11">
        <v>7.0</v>
      </c>
    </row>
    <row r="12" spans="8:8" ht="13.45">
      <c r="F12">
        <f>FIND("+",E7,8)</f>
        <v>9.0</v>
      </c>
      <c r="Q12" s="39" t="s">
        <v>12</v>
      </c>
      <c r="R12">
        <v>8.0</v>
      </c>
    </row>
    <row r="13" spans="8:8" ht="13.45">
      <c r="F13">
        <f>IF(ISNUMBER(F12),F12,"Starting grid not specified")</f>
        <v>9.0</v>
      </c>
      <c r="Q13" s="39" t="s">
        <v>13</v>
      </c>
      <c r="R13">
        <v>9.0</v>
      </c>
    </row>
    <row r="14" spans="8:8" ht="13.45">
      <c r="Q14" s="39" t="s">
        <v>16</v>
      </c>
      <c r="R14">
        <v>10.0</v>
      </c>
    </row>
    <row r="15" spans="8:8" ht="13.45">
      <c r="Q15" s="39" t="s">
        <v>20</v>
      </c>
      <c r="R15">
        <v>11.0</v>
      </c>
    </row>
    <row r="16" spans="8:8" ht="13.45">
      <c r="E16" t="s">
        <v>64</v>
      </c>
      <c r="Q16" s="39" t="s">
        <v>21</v>
      </c>
      <c r="R16">
        <v>12.0</v>
      </c>
    </row>
    <row r="17" spans="8:8" ht="13.45">
      <c r="E17" t="str">
        <f>IF(F13&gt;8,LEFT(E7,F13-1)&amp;RIGHT(E7,LEN(E7)-F13),"")</f>
        <v>6PH57VP3PR6</v>
      </c>
      <c r="Q17" s="39" t="s">
        <v>22</v>
      </c>
      <c r="R17">
        <v>13.0</v>
      </c>
    </row>
    <row r="18" spans="8:8" ht="13.45">
      <c r="Q18" s="39" t="s">
        <v>23</v>
      </c>
      <c r="R18">
        <v>14.0</v>
      </c>
    </row>
    <row r="19" spans="8:8" ht="13.45">
      <c r="Q19" s="39" t="s">
        <v>24</v>
      </c>
      <c r="R19">
        <v>15.0</v>
      </c>
    </row>
    <row r="20" spans="8:8" ht="13.45">
      <c r="B20" s="3" t="s">
        <v>14</v>
      </c>
      <c r="C20" s="3" t="s">
        <v>2</v>
      </c>
      <c r="D20" s="3" t="s">
        <v>65</v>
      </c>
      <c r="H20" s="3" t="s">
        <v>14</v>
      </c>
      <c r="I20" s="3" t="s">
        <v>2</v>
      </c>
      <c r="J20" s="3" t="s">
        <v>65</v>
      </c>
      <c r="Q20" s="39" t="s">
        <v>25</v>
      </c>
      <c r="R20">
        <v>16.0</v>
      </c>
    </row>
    <row r="21" spans="8:8" ht="13.45">
      <c r="B21" s="3" t="s">
        <v>7</v>
      </c>
      <c r="C21" s="3" t="s">
        <v>18</v>
      </c>
      <c r="D21" s="3" t="s">
        <v>66</v>
      </c>
      <c r="H21" s="3" t="s">
        <v>7</v>
      </c>
      <c r="I21" s="3" t="s">
        <v>18</v>
      </c>
      <c r="J21" s="3" t="s">
        <v>66</v>
      </c>
      <c r="Q21" s="39" t="s">
        <v>26</v>
      </c>
      <c r="R21">
        <v>17.0</v>
      </c>
    </row>
    <row r="22" spans="8:8" ht="13.45">
      <c r="B22" t="str">
        <f>IF(ISNUMBER(F12),LEFT($E$17,1),"")</f>
        <v>6</v>
      </c>
      <c r="C22">
        <f>VLOOKUP(B22,$Q$4:$R$23,2)</f>
        <v>4.0</v>
      </c>
      <c r="D22">
        <f>C22*20</f>
        <v>80.0</v>
      </c>
      <c r="H22" t="str">
        <f>IF(ISNUMBER(F12),MID($E$17,2,1),"")</f>
        <v>P</v>
      </c>
      <c r="I22">
        <f>VLOOKUP(H22,$Q$4:$R$23,2)</f>
        <v>14.0</v>
      </c>
      <c r="J22">
        <f>I22*20</f>
        <v>280.0</v>
      </c>
      <c r="Q22" s="39" t="s">
        <v>29</v>
      </c>
      <c r="R22">
        <v>18.0</v>
      </c>
    </row>
    <row r="23" spans="8:8" ht="13.45">
      <c r="B23" t="str">
        <f>IF(ISNUMBER(F12),MID($E$17,3,1),"")</f>
        <v>H</v>
      </c>
      <c r="C23">
        <f>VLOOKUP(B23,$Q$4:$R$23,2)</f>
        <v>11.0</v>
      </c>
      <c r="D23">
        <f>C23</f>
        <v>11.0</v>
      </c>
      <c r="H23" t="str">
        <f>IF(ISNUMBER(F12),MID($E$17,4,1),"")</f>
        <v>5</v>
      </c>
      <c r="I23">
        <f>VLOOKUP(H23,$Q$4:$R$23,2)</f>
        <v>3.0</v>
      </c>
      <c r="J23">
        <f>I23</f>
        <v>3.0</v>
      </c>
      <c r="Q23" s="39" t="s">
        <v>30</v>
      </c>
      <c r="R23">
        <v>19.0</v>
      </c>
    </row>
    <row r="24" spans="8:8" ht="13.45">
      <c r="B24" t="str">
        <f>IF(ISNUMBER(F12),MID($E$17,5,1),"")</f>
        <v>7</v>
      </c>
      <c r="C24">
        <f>VLOOKUP(B24,$Q$4:$R$23,2)</f>
        <v>5.0</v>
      </c>
      <c r="D24">
        <f>C24/20</f>
        <v>0.25</v>
      </c>
      <c r="H24" t="str">
        <f>IF(ISNUMBER(F12),MID($E$17,6,1),"")</f>
        <v>V</v>
      </c>
      <c r="I24">
        <f>VLOOKUP(H24,$Q$4:$R$23,2)</f>
        <v>17.0</v>
      </c>
      <c r="J24">
        <f>I24/20</f>
        <v>0.85</v>
      </c>
    </row>
    <row r="25" spans="8:8" ht="13.45">
      <c r="B25" t="str">
        <f>IF(ISNUMBER(F12),MID($E$17,7,1),"")</f>
        <v>P</v>
      </c>
      <c r="C25">
        <f>VLOOKUP(B25,$Q$4:$R$23,2)</f>
        <v>14.0</v>
      </c>
      <c r="D25">
        <f>C25/400</f>
        <v>0.035</v>
      </c>
      <c r="H25" t="str">
        <f>IF(ISNUMBER(F12),MID($E$17,8,1),"")</f>
        <v>3</v>
      </c>
      <c r="I25">
        <f>VLOOKUP(H25,$Q$4:$R$23,2)</f>
        <v>1.0</v>
      </c>
      <c r="J25">
        <f>I25/400</f>
        <v>0.0025</v>
      </c>
    </row>
    <row r="26" spans="8:8" ht="13.45">
      <c r="B26" t="str">
        <f>IF(ISNUMBER(F12),MID($E$17,9,1),"")</f>
        <v>P</v>
      </c>
      <c r="C26">
        <f>VLOOKUP(B26,$Q$4:$R$23,2)</f>
        <v>14.0</v>
      </c>
      <c r="D26">
        <f>C26/8000</f>
        <v>0.00175</v>
      </c>
      <c r="H26" t="str">
        <f>IF(ISNUMBER(F12),MID($E$17,10,1),"")</f>
        <v>R</v>
      </c>
      <c r="I26">
        <f>VLOOKUP(H26,$Q$4:$R$23,2)</f>
        <v>16.0</v>
      </c>
      <c r="J26">
        <f>I26/8000</f>
        <v>0.002</v>
      </c>
    </row>
    <row r="27" spans="8:8" ht="13.45">
      <c r="C27" s="10" t="s">
        <v>67</v>
      </c>
      <c r="D27" s="40">
        <f>SUM(D22:D26)-90</f>
        <v>1.2867499999999978</v>
      </c>
      <c r="I27" s="10" t="s">
        <v>68</v>
      </c>
      <c r="J27" s="40">
        <f>SUM(J22:J26)-180</f>
        <v>103.85449999999997</v>
      </c>
    </row>
    <row r="30" spans="8:8" ht="13.45">
      <c r="C30" s="3" t="s">
        <v>2</v>
      </c>
      <c r="F30" s="3" t="s">
        <v>69</v>
      </c>
      <c r="H30" t="s">
        <v>70</v>
      </c>
      <c r="J30" s="3" t="s">
        <v>71</v>
      </c>
    </row>
    <row r="31" spans="8:8" ht="13.45">
      <c r="B31" s="3" t="s">
        <v>72</v>
      </c>
      <c r="C31" s="3" t="s">
        <v>18</v>
      </c>
      <c r="F31" s="3" t="s">
        <v>6</v>
      </c>
      <c r="H31" t="s">
        <v>73</v>
      </c>
      <c r="J31" t="s">
        <v>74</v>
      </c>
    </row>
    <row r="32" spans="8:8" ht="13.45">
      <c r="B32" t="str">
        <f>IF(F32,RIGHT(E17,1),"")</f>
        <v>6</v>
      </c>
      <c r="C32">
        <f>IF(F32,VLOOKUP(B32,$Q$4:$R$23,2))</f>
        <v>4.0</v>
      </c>
      <c r="F32" s="41" t="b">
        <f>(LEN(E17)=11)</f>
        <v>1</v>
      </c>
      <c r="H32">
        <f>(C32-J32)/4</f>
        <v>1.0</v>
      </c>
      <c r="J32">
        <f>MOD(C32,4)</f>
        <v>0.0</v>
      </c>
    </row>
    <row r="34" spans="8:8" ht="13.45">
      <c r="D34" s="3" t="s">
        <v>75</v>
      </c>
      <c r="J34" s="3" t="s">
        <v>75</v>
      </c>
    </row>
    <row r="35" spans="8:8" ht="13.45">
      <c r="D35" s="3" t="s">
        <v>76</v>
      </c>
      <c r="J35" s="3" t="s">
        <v>76</v>
      </c>
    </row>
    <row r="36" spans="8:8" ht="13.45">
      <c r="C36" t="s">
        <v>46</v>
      </c>
      <c r="D36" s="42">
        <f>D27+H32/40000</f>
        <v>1.286775</v>
      </c>
      <c r="I36" t="s">
        <v>41</v>
      </c>
      <c r="J36" s="42">
        <f>J27+J32/32000</f>
        <v>103.8545</v>
      </c>
    </row>
    <row r="38" spans="8:8" ht="13.45">
      <c r="B38" s="10" t="s">
        <v>76</v>
      </c>
      <c r="C38" s="10" t="s">
        <v>77</v>
      </c>
      <c r="D38" s="10" t="s">
        <v>78</v>
      </c>
      <c r="H38" s="10" t="s">
        <v>76</v>
      </c>
      <c r="I38" s="10" t="s">
        <v>77</v>
      </c>
      <c r="J38" s="10" t="s">
        <v>78</v>
      </c>
    </row>
    <row r="39" spans="8:8" ht="13.45">
      <c r="B39" s="15">
        <f>IF(AND(D36&gt;-1,D36&lt;0),"-0",TRUNC(D36,0))</f>
        <v>1.0</v>
      </c>
      <c r="C39" s="12">
        <f>ABS(TRUNC((D36-TRUNC(D36,0))*60))</f>
        <v>17.0</v>
      </c>
      <c r="D39" s="43">
        <f>MOD(ABS((D36-TRUNC(D36,0))*3600),60)</f>
        <v>12.3900000000001</v>
      </c>
      <c r="H39" s="15">
        <f>IF(AND(J36&gt;-1,J36&lt;0),"-0",TRUNC(J36,0))</f>
        <v>103.0</v>
      </c>
      <c r="I39" s="12">
        <f>ABS(TRUNC((J36-TRUNC(J36,0))*60))</f>
        <v>51.0</v>
      </c>
      <c r="J39" s="43">
        <f>ABS((J36-TRUNC(J36,0))*3600-I39*60)</f>
        <v>16.20000000000573</v>
      </c>
    </row>
  </sheetData>
  <sheetProtection sheet="1" autoFilter="0"/>
  <mergeCells count="1">
    <mergeCell ref="E4:G4"/>
  </mergeCells>
  <pageMargins left="0.590277777777778" right="0.590277777777778" top="0.7875" bottom="0.7875" header="0.511811023622047" footer="0.511811023622047"/>
  <pageSetup paperSize="9" pageOrder="overThenDown" cellComments="atEnd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SM-A307GN</dc:creator>
  <cp:lastModifiedBy>Main</cp:lastModifiedBy>
  <dcterms:created xsi:type="dcterms:W3CDTF">2025-08-12T08:29:12Z</dcterms:created>
  <dcterms:modified xsi:type="dcterms:W3CDTF">2025-08-19T06:07:15Z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1c93e609cc1149c6917e9b87f7cfd88e</vt:lpwstr>
  </property>
</Properties>
</file>